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uget mai 2020" sheetId="1" r:id="rId1"/>
  </sheets>
  <definedNames/>
  <calcPr fullCalcOnLoad="1"/>
</workbook>
</file>

<file path=xl/sharedStrings.xml><?xml version="1.0" encoding="utf-8"?>
<sst xmlns="http://schemas.openxmlformats.org/spreadsheetml/2006/main" count="75" uniqueCount="50">
  <si>
    <t xml:space="preserve"> Ludus </t>
  </si>
  <si>
    <t>contractat</t>
  </si>
  <si>
    <t>Trim I</t>
  </si>
  <si>
    <t>Ianuarie</t>
  </si>
  <si>
    <t>Casa de Asigurări de Sănătate Mureş</t>
  </si>
  <si>
    <t xml:space="preserve">  SC Ralmed   </t>
  </si>
  <si>
    <t xml:space="preserve">  San Sylv  </t>
  </si>
  <si>
    <t xml:space="preserve"> Procardia </t>
  </si>
  <si>
    <t xml:space="preserve"> Topmed </t>
  </si>
  <si>
    <t xml:space="preserve"> Reszana  </t>
  </si>
  <si>
    <t xml:space="preserve"> Dr. Komjatszegi </t>
  </si>
  <si>
    <t>Targu Mures</t>
  </si>
  <si>
    <t xml:space="preserve"> Maria </t>
  </si>
  <si>
    <t xml:space="preserve"> Center </t>
  </si>
  <si>
    <t xml:space="preserve"> contractat </t>
  </si>
  <si>
    <t xml:space="preserve">  contractat  </t>
  </si>
  <si>
    <t xml:space="preserve"> Total      </t>
  </si>
  <si>
    <t>recuperare</t>
  </si>
  <si>
    <t xml:space="preserve"> Băile Sărate  </t>
  </si>
  <si>
    <t xml:space="preserve"> Dora </t>
  </si>
  <si>
    <t>Medicals</t>
  </si>
  <si>
    <t xml:space="preserve"> Rheum - Care </t>
  </si>
  <si>
    <t>Sorel&amp;</t>
  </si>
  <si>
    <t>Sorela</t>
  </si>
  <si>
    <t xml:space="preserve"> </t>
  </si>
  <si>
    <t>SC Salinele</t>
  </si>
  <si>
    <t>Roman SRL</t>
  </si>
  <si>
    <t xml:space="preserve">SC Ale </t>
  </si>
  <si>
    <t xml:space="preserve">Fiziomed </t>
  </si>
  <si>
    <t>Plus SRL</t>
  </si>
  <si>
    <t xml:space="preserve">SC Dr. Szasz </t>
  </si>
  <si>
    <t>Center SRL</t>
  </si>
  <si>
    <t xml:space="preserve">Rehab </t>
  </si>
  <si>
    <t>Serviciul Decontare Servicii Medicale</t>
  </si>
  <si>
    <t>Serviciul  Decontare Servicii Medicale</t>
  </si>
  <si>
    <t>de Urg</t>
  </si>
  <si>
    <t xml:space="preserve">Spit. Cl.Jud. </t>
  </si>
  <si>
    <t xml:space="preserve">Valer Russu </t>
  </si>
  <si>
    <t xml:space="preserve"> Spit. Or.</t>
  </si>
  <si>
    <t xml:space="preserve"> CMI Dr. Dabija </t>
  </si>
  <si>
    <t xml:space="preserve"> Total</t>
  </si>
  <si>
    <t>Februarie</t>
  </si>
  <si>
    <t>Martie</t>
  </si>
  <si>
    <t>Aprilie</t>
  </si>
  <si>
    <t>Total</t>
  </si>
  <si>
    <t>Mai</t>
  </si>
  <si>
    <t>Trim II</t>
  </si>
  <si>
    <t>Alocare buget luna mai 2020</t>
  </si>
  <si>
    <t xml:space="preserve">         Anexa 5</t>
  </si>
  <si>
    <t xml:space="preserve">     Anexa 5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</si>
</sst>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[$-409]dddd\,\ mmmm\ d\,\ yyyy"/>
    <numFmt numFmtId="176" formatCode="[$-409]h:mm:ss\ AM/PM"/>
    <numFmt numFmtId="177" formatCode="0.00_);\(0.00\)"/>
    <numFmt numFmtId="178" formatCode="0.000"/>
    <numFmt numFmtId="179" formatCode="0.0000"/>
    <numFmt numFmtId="180" formatCode="_(* #,##0.0_);_(* \(#,##0.0\);_(* &quot;-&quot;_);_(@_)"/>
    <numFmt numFmtId="181" formatCode="_(* #,##0.00_);_(* \(#,##0.00\);_(* &quot;-&quot;_);_(@_)"/>
    <numFmt numFmtId="182" formatCode="_(* #,##0.000_);_(* \(#,##0.000\);_(* &quot;-&quot;_);_(@_)"/>
    <numFmt numFmtId="183" formatCode="_(* #,##0.0000_);_(* \(#,##0.0000\);_(* &quot;-&quot;_);_(@_)"/>
    <numFmt numFmtId="184" formatCode="_(* #,##0.00000_);_(* \(#,##0.00000\);_(* &quot;-&quot;_);_(@_)"/>
    <numFmt numFmtId="185" formatCode="_(* #,##0.000000_);_(* \(#,##0.000000\);_(* &quot;-&quot;_);_(@_)"/>
    <numFmt numFmtId="186" formatCode="_(* #,##0.0000_);_(* \(#,##0.0000\);_(* &quot;-&quot;????_);_(@_)"/>
    <numFmt numFmtId="187" formatCode="#,##0.0_);\(#,##0.0\)"/>
    <numFmt numFmtId="188" formatCode="[$-418]dddd\,\ d\ mmmm\ yyyy"/>
    <numFmt numFmtId="189" formatCode="_(* #,##0.000_);_(* \(#,##0.000\);_(* &quot;-&quot;????_);_(@_)"/>
    <numFmt numFmtId="190" formatCode="_(* #,##0.00_);_(* \(#,##0.00\);_(* &quot;-&quot;????_);_(@_)"/>
    <numFmt numFmtId="191" formatCode="#,##0_);\(#,##0\)"/>
    <numFmt numFmtId="192" formatCode="#,##0.00_);\(#,##0.00\)"/>
    <numFmt numFmtId="193" formatCode="#,##0.000_);\(#,##0.000\)"/>
    <numFmt numFmtId="194" formatCode="#,##0.0000_);\(#,##0.0000\)"/>
  </numFmts>
  <fonts count="3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33" borderId="10" xfId="0" applyNumberForma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/>
    </xf>
    <xf numFmtId="4" fontId="1" fillId="16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4" fontId="0" fillId="33" borderId="10" xfId="0" applyNumberFormat="1" applyFill="1" applyBorder="1" applyAlignment="1">
      <alignment horizontal="right"/>
    </xf>
    <xf numFmtId="4" fontId="1" fillId="16" borderId="10" xfId="0" applyNumberFormat="1" applyFont="1" applyFill="1" applyBorder="1" applyAlignment="1">
      <alignment horizontal="right"/>
    </xf>
    <xf numFmtId="0" fontId="1" fillId="16" borderId="10" xfId="0" applyFont="1" applyFill="1" applyBorder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90" fontId="0" fillId="33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190" fontId="0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190" fontId="0" fillId="34" borderId="10" xfId="0" applyNumberFormat="1" applyFont="1" applyFill="1" applyBorder="1" applyAlignment="1">
      <alignment/>
    </xf>
    <xf numFmtId="190" fontId="0" fillId="34" borderId="10" xfId="0" applyNumberFormat="1" applyFont="1" applyFill="1" applyBorder="1" applyAlignment="1">
      <alignment horizontal="right"/>
    </xf>
    <xf numFmtId="4" fontId="0" fillId="34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11.421875" style="0" customWidth="1"/>
    <col min="2" max="2" width="13.421875" style="0" customWidth="1"/>
    <col min="3" max="4" width="13.28125" style="0" customWidth="1"/>
    <col min="5" max="5" width="11.57421875" style="0" customWidth="1"/>
    <col min="6" max="6" width="12.8515625" style="0" customWidth="1"/>
    <col min="7" max="7" width="14.421875" style="0" customWidth="1"/>
    <col min="8" max="8" width="11.28125" style="0" customWidth="1"/>
    <col min="9" max="9" width="11.140625" style="0" customWidth="1"/>
    <col min="10" max="10" width="10.57421875" style="0" customWidth="1"/>
    <col min="11" max="11" width="12.140625" style="0" customWidth="1"/>
    <col min="12" max="12" width="11.57421875" style="0" customWidth="1"/>
    <col min="13" max="13" width="12.421875" style="0" customWidth="1"/>
    <col min="14" max="14" width="11.421875" style="0" customWidth="1"/>
    <col min="15" max="15" width="13.421875" style="0" customWidth="1"/>
    <col min="16" max="17" width="11.8515625" style="0" customWidth="1"/>
    <col min="18" max="18" width="13.28125" style="0" customWidth="1"/>
    <col min="19" max="19" width="15.8515625" style="0" customWidth="1"/>
    <col min="20" max="20" width="13.7109375" style="0" customWidth="1"/>
    <col min="21" max="21" width="15.00390625" style="0" bestFit="1" customWidth="1"/>
  </cols>
  <sheetData>
    <row r="1" spans="1:14" ht="12.75">
      <c r="A1" s="1" t="s">
        <v>4</v>
      </c>
      <c r="B1" s="1"/>
      <c r="C1" s="1"/>
      <c r="L1" s="1" t="s">
        <v>4</v>
      </c>
      <c r="M1" s="1"/>
      <c r="N1" s="1"/>
    </row>
    <row r="2" spans="1:20" ht="12.75">
      <c r="A2" s="1" t="s">
        <v>33</v>
      </c>
      <c r="B2" s="1"/>
      <c r="C2" s="1"/>
      <c r="H2" s="1"/>
      <c r="I2" s="1"/>
      <c r="J2" s="1"/>
      <c r="K2" s="1"/>
      <c r="L2" s="1" t="s">
        <v>34</v>
      </c>
      <c r="M2" s="1"/>
      <c r="N2" s="1"/>
      <c r="S2" s="1"/>
      <c r="T2" s="14"/>
    </row>
    <row r="3" spans="1:20" ht="12.75">
      <c r="A3" s="1"/>
      <c r="B3" s="1"/>
      <c r="C3" s="1"/>
      <c r="H3" s="1"/>
      <c r="I3" s="1"/>
      <c r="J3" s="1"/>
      <c r="K3" s="1"/>
      <c r="S3" s="1"/>
      <c r="T3" s="1"/>
    </row>
    <row r="4" spans="8:20" ht="12.75">
      <c r="H4" s="1"/>
      <c r="I4" s="1"/>
      <c r="J4" s="1"/>
      <c r="K4" s="1"/>
      <c r="S4" s="1"/>
      <c r="T4" s="1"/>
    </row>
    <row r="5" spans="8:20" ht="12.75">
      <c r="H5" s="1"/>
      <c r="I5" s="1"/>
      <c r="J5" s="1"/>
      <c r="K5" s="1"/>
      <c r="S5" s="1"/>
      <c r="T5" s="1"/>
    </row>
    <row r="6" spans="8:20" ht="12.75">
      <c r="H6" s="1"/>
      <c r="I6" s="1"/>
      <c r="J6" s="1"/>
      <c r="K6" s="1"/>
      <c r="S6" s="1"/>
      <c r="T6" s="1"/>
    </row>
    <row r="7" spans="8:20" ht="12.75">
      <c r="H7" s="1"/>
      <c r="I7" s="1"/>
      <c r="J7" s="1"/>
      <c r="K7" s="1"/>
      <c r="S7" s="1"/>
      <c r="T7" s="1"/>
    </row>
    <row r="8" spans="1:20" ht="12.75">
      <c r="A8" s="1" t="s">
        <v>47</v>
      </c>
      <c r="B8" s="1"/>
      <c r="C8" s="1"/>
      <c r="D8" s="1"/>
      <c r="E8" s="3"/>
      <c r="F8" s="3"/>
      <c r="G8" s="3"/>
      <c r="H8" s="3"/>
      <c r="I8" s="3"/>
      <c r="J8" s="3"/>
      <c r="K8" s="5" t="s">
        <v>49</v>
      </c>
      <c r="L8" s="1" t="s">
        <v>47</v>
      </c>
      <c r="M8" s="1"/>
      <c r="N8" s="1"/>
      <c r="O8" s="1"/>
      <c r="P8" s="1"/>
      <c r="Q8" s="1"/>
      <c r="R8" s="5"/>
      <c r="S8" s="3"/>
      <c r="T8" s="5" t="s">
        <v>48</v>
      </c>
    </row>
    <row r="9" spans="1:20" ht="12.75">
      <c r="A9" s="2"/>
      <c r="B9" s="6" t="s">
        <v>36</v>
      </c>
      <c r="C9" s="6" t="s">
        <v>38</v>
      </c>
      <c r="D9" s="6" t="s">
        <v>39</v>
      </c>
      <c r="E9" s="6" t="s">
        <v>19</v>
      </c>
      <c r="F9" s="6" t="s">
        <v>5</v>
      </c>
      <c r="G9" s="6" t="s">
        <v>21</v>
      </c>
      <c r="H9" s="4" t="s">
        <v>6</v>
      </c>
      <c r="I9" s="4" t="s">
        <v>7</v>
      </c>
      <c r="J9" s="4" t="s">
        <v>8</v>
      </c>
      <c r="K9" s="4" t="s">
        <v>18</v>
      </c>
      <c r="L9" s="4"/>
      <c r="M9" s="6" t="s">
        <v>9</v>
      </c>
      <c r="N9" s="6" t="s">
        <v>22</v>
      </c>
      <c r="O9" s="6" t="s">
        <v>25</v>
      </c>
      <c r="P9" s="6" t="s">
        <v>27</v>
      </c>
      <c r="Q9" s="6" t="s">
        <v>30</v>
      </c>
      <c r="R9" s="6" t="s">
        <v>16</v>
      </c>
      <c r="S9" s="4" t="s">
        <v>10</v>
      </c>
      <c r="T9" s="6" t="s">
        <v>40</v>
      </c>
    </row>
    <row r="10" spans="1:20" ht="12.75">
      <c r="A10" s="2"/>
      <c r="B10" s="6" t="s">
        <v>35</v>
      </c>
      <c r="C10" s="6" t="s">
        <v>37</v>
      </c>
      <c r="D10" s="6" t="s">
        <v>12</v>
      </c>
      <c r="E10" s="6" t="s">
        <v>20</v>
      </c>
      <c r="F10" s="4"/>
      <c r="G10" s="4"/>
      <c r="H10" s="4"/>
      <c r="I10" s="4"/>
      <c r="J10" s="4"/>
      <c r="K10" s="4"/>
      <c r="L10" s="4"/>
      <c r="M10" s="6" t="s">
        <v>13</v>
      </c>
      <c r="N10" s="6" t="s">
        <v>23</v>
      </c>
      <c r="O10" s="6" t="s">
        <v>26</v>
      </c>
      <c r="P10" s="6" t="s">
        <v>28</v>
      </c>
      <c r="Q10" s="6" t="s">
        <v>32</v>
      </c>
      <c r="R10" s="6" t="s">
        <v>17</v>
      </c>
      <c r="S10" s="4"/>
      <c r="T10" s="6">
        <v>2020</v>
      </c>
    </row>
    <row r="11" spans="1:20" ht="12.75">
      <c r="A11" s="4">
        <v>2020</v>
      </c>
      <c r="B11" s="6" t="s">
        <v>11</v>
      </c>
      <c r="C11" s="6" t="s">
        <v>0</v>
      </c>
      <c r="D11" s="7"/>
      <c r="E11" s="7"/>
      <c r="F11" s="2"/>
      <c r="G11" s="2"/>
      <c r="H11" s="2"/>
      <c r="I11" s="2"/>
      <c r="J11" s="2"/>
      <c r="K11" s="2"/>
      <c r="L11" s="4">
        <v>2020</v>
      </c>
      <c r="M11" s="7"/>
      <c r="N11" s="2"/>
      <c r="O11" s="7"/>
      <c r="P11" s="6" t="s">
        <v>29</v>
      </c>
      <c r="Q11" s="6" t="s">
        <v>31</v>
      </c>
      <c r="R11" s="7"/>
      <c r="S11" s="2"/>
      <c r="T11" s="2"/>
    </row>
    <row r="12" spans="1:20" ht="12.75">
      <c r="A12" s="4"/>
      <c r="B12" s="6"/>
      <c r="C12" s="6"/>
      <c r="D12" s="7"/>
      <c r="E12" s="7"/>
      <c r="F12" s="2"/>
      <c r="G12" s="2"/>
      <c r="H12" s="2"/>
      <c r="I12" s="2"/>
      <c r="J12" s="2"/>
      <c r="K12" s="2"/>
      <c r="L12" s="4"/>
      <c r="M12" s="7"/>
      <c r="N12" s="2"/>
      <c r="O12" s="7"/>
      <c r="P12" s="6"/>
      <c r="Q12" s="6"/>
      <c r="R12" s="7"/>
      <c r="S12" s="2"/>
      <c r="T12" s="2"/>
    </row>
    <row r="13" spans="1:20" ht="12.75">
      <c r="A13" s="2"/>
      <c r="B13" s="6" t="s">
        <v>14</v>
      </c>
      <c r="C13" s="6" t="s">
        <v>14</v>
      </c>
      <c r="D13" s="6" t="s">
        <v>14</v>
      </c>
      <c r="E13" s="6" t="s">
        <v>14</v>
      </c>
      <c r="F13" s="4" t="s">
        <v>14</v>
      </c>
      <c r="G13" s="6" t="s">
        <v>14</v>
      </c>
      <c r="H13" s="4" t="s">
        <v>14</v>
      </c>
      <c r="I13" s="4" t="s">
        <v>14</v>
      </c>
      <c r="J13" s="4" t="s">
        <v>14</v>
      </c>
      <c r="K13" s="6" t="s">
        <v>14</v>
      </c>
      <c r="L13" s="4"/>
      <c r="M13" s="15" t="s">
        <v>1</v>
      </c>
      <c r="N13" s="15" t="s">
        <v>1</v>
      </c>
      <c r="O13" s="15" t="s">
        <v>1</v>
      </c>
      <c r="P13" s="15" t="s">
        <v>1</v>
      </c>
      <c r="Q13" s="15" t="s">
        <v>1</v>
      </c>
      <c r="R13" s="15" t="s">
        <v>14</v>
      </c>
      <c r="S13" s="15" t="s">
        <v>15</v>
      </c>
      <c r="T13" s="6" t="s">
        <v>15</v>
      </c>
    </row>
    <row r="14" spans="1:21" ht="12.75">
      <c r="A14" s="9" t="s">
        <v>3</v>
      </c>
      <c r="B14" s="8">
        <f>45298.36-14.86</f>
        <v>45283.5</v>
      </c>
      <c r="C14" s="8">
        <f>10004.44-29.44</f>
        <v>9975</v>
      </c>
      <c r="D14" s="8">
        <f>14560.7-27.2</f>
        <v>14533.5</v>
      </c>
      <c r="E14" s="8">
        <f>9291.64-261.64</f>
        <v>9030</v>
      </c>
      <c r="F14" s="8">
        <f>11494.62-22.62</f>
        <v>11472</v>
      </c>
      <c r="G14" s="8">
        <f>22243.18-10.18</f>
        <v>22233</v>
      </c>
      <c r="H14" s="8">
        <f>9436.28-33.28</f>
        <v>9403</v>
      </c>
      <c r="I14" s="8">
        <f>61721.52-7395.52</f>
        <v>54326</v>
      </c>
      <c r="J14" s="8">
        <f>20825.02-27.02</f>
        <v>20798</v>
      </c>
      <c r="K14" s="8">
        <f>32743.44-4.44</f>
        <v>32739</v>
      </c>
      <c r="L14" s="9" t="s">
        <v>3</v>
      </c>
      <c r="M14" s="16">
        <f>58042.56-4929.56</f>
        <v>53113</v>
      </c>
      <c r="N14" s="16">
        <f>10355.5-10.5</f>
        <v>10345</v>
      </c>
      <c r="O14" s="16">
        <f>12219.74-1015.24</f>
        <v>11204.5</v>
      </c>
      <c r="P14" s="16">
        <f>13370-20</f>
        <v>13350</v>
      </c>
      <c r="Q14" s="16">
        <f>60721-7225</f>
        <v>53496</v>
      </c>
      <c r="R14" s="16">
        <f>B14+C14+D14+E14+F14+G14+H14+I14+J14+K14+M14+N14+O14+P14+Q14</f>
        <v>371301.5</v>
      </c>
      <c r="S14" s="16">
        <f>3672-1074</f>
        <v>2598</v>
      </c>
      <c r="T14" s="16">
        <f>R14+S14</f>
        <v>373899.5</v>
      </c>
      <c r="U14" s="12"/>
    </row>
    <row r="15" spans="1:21" ht="12.75">
      <c r="A15" s="9" t="s">
        <v>41</v>
      </c>
      <c r="B15" s="8">
        <f>46082.7+14.86-27.56</f>
        <v>46070</v>
      </c>
      <c r="C15" s="8">
        <f>12390.76+29.44-20.2</f>
        <v>12400</v>
      </c>
      <c r="D15" s="8">
        <f>14365.3+27.2-2</f>
        <v>14390.5</v>
      </c>
      <c r="E15" s="8">
        <f>9165.46+261.64-20.6</f>
        <v>9406.499999999998</v>
      </c>
      <c r="F15" s="8">
        <f>12681.04+22.62-85.66</f>
        <v>12618.000000000002</v>
      </c>
      <c r="G15" s="8">
        <f>21944.2+10.18-18.38</f>
        <v>21936</v>
      </c>
      <c r="H15" s="8">
        <f>9307.34+33.28-10.62</f>
        <v>9330</v>
      </c>
      <c r="I15" s="8">
        <f>60901.26+7395.52-22.78</f>
        <v>68274</v>
      </c>
      <c r="J15" s="8">
        <f>20545.76+27.02-16.78</f>
        <v>20556</v>
      </c>
      <c r="K15" s="8">
        <f>32298.48+4.44-16.92</f>
        <v>32286</v>
      </c>
      <c r="L15" s="9" t="s">
        <v>41</v>
      </c>
      <c r="M15" s="16">
        <f>57271.4+4929.56-9.46</f>
        <v>62191.5</v>
      </c>
      <c r="N15" s="16">
        <f>10215.92+10.5-6.42</f>
        <v>10220</v>
      </c>
      <c r="O15" s="16">
        <f>12054.86+1015.24-1846.1</f>
        <v>11224</v>
      </c>
      <c r="P15" s="16">
        <f>13189.84+20-5.84</f>
        <v>13204</v>
      </c>
      <c r="Q15" s="16">
        <f>59913.68+7225-13.68</f>
        <v>67125</v>
      </c>
      <c r="R15" s="16">
        <f>B15+C15+D15+E15+F15+G15+H15+I15+J15+K15+M15+N15+O15+P15+Q15</f>
        <v>411231.5</v>
      </c>
      <c r="S15" s="16">
        <f>3672+1074-1536</f>
        <v>3210</v>
      </c>
      <c r="T15" s="16">
        <f>R15+S15</f>
        <v>414441.5</v>
      </c>
      <c r="U15" s="12"/>
    </row>
    <row r="16" spans="1:21" ht="12.75">
      <c r="A16" s="9" t="s">
        <v>42</v>
      </c>
      <c r="B16" s="8">
        <f>44910.18+27.56-13313.74</f>
        <v>31624</v>
      </c>
      <c r="C16" s="8">
        <f>12335.2+20.2-25.4</f>
        <v>12330.000000000002</v>
      </c>
      <c r="D16" s="8">
        <f>14293.68+2</f>
        <v>14295.68</v>
      </c>
      <c r="E16" s="8">
        <f>9106.34+20.6-354.94</f>
        <v>8772</v>
      </c>
      <c r="F16" s="8">
        <f>13919.6+85.66-1183.26</f>
        <v>12822</v>
      </c>
      <c r="G16" s="8">
        <f>21825.68+18.38-334.06</f>
        <v>21510</v>
      </c>
      <c r="H16" s="8">
        <f>9239.68+10.62-25.3</f>
        <v>9225.000000000002</v>
      </c>
      <c r="I16" s="8">
        <f>60661.12+22.78-31533.9</f>
        <v>29150</v>
      </c>
      <c r="J16" s="8">
        <f>20444.32+16.78-1507.1</f>
        <v>18954</v>
      </c>
      <c r="K16" s="8">
        <f>32638.14+16.92-3.06</f>
        <v>32651.999999999996</v>
      </c>
      <c r="L16" s="9" t="s">
        <v>42</v>
      </c>
      <c r="M16" s="16">
        <f>57243.96+9.46-317.92</f>
        <v>56935.5</v>
      </c>
      <c r="N16" s="16">
        <f>10156.48+6.42-12.9</f>
        <v>10150</v>
      </c>
      <c r="O16" s="16">
        <f>12757.62+1846.1</f>
        <v>14603.720000000001</v>
      </c>
      <c r="P16" s="16">
        <f>13118.32+5.84-26.16</f>
        <v>13098</v>
      </c>
      <c r="Q16" s="16">
        <f>59677.68+13.68-1360.86</f>
        <v>58330.5</v>
      </c>
      <c r="R16" s="16">
        <f>Q16+P16+O16+N16+M16+K16+J16+I16+H16+G16+F16+E16+D16+C16+B16</f>
        <v>344452.39999999997</v>
      </c>
      <c r="S16" s="16">
        <f>3672+1536-4150</f>
        <v>1058</v>
      </c>
      <c r="T16" s="16">
        <f>R16+S16</f>
        <v>345510.39999999997</v>
      </c>
      <c r="U16" s="12"/>
    </row>
    <row r="17" spans="1:21" ht="12.75">
      <c r="A17" s="24" t="s">
        <v>2</v>
      </c>
      <c r="B17" s="28">
        <f aca="true" t="shared" si="0" ref="B17:K17">B14+B15+B16</f>
        <v>122977.5</v>
      </c>
      <c r="C17" s="28">
        <f t="shared" si="0"/>
        <v>34705</v>
      </c>
      <c r="D17" s="28">
        <f t="shared" si="0"/>
        <v>43219.68</v>
      </c>
      <c r="E17" s="28">
        <f t="shared" si="0"/>
        <v>27208.5</v>
      </c>
      <c r="F17" s="28">
        <f t="shared" si="0"/>
        <v>36912</v>
      </c>
      <c r="G17" s="28">
        <f t="shared" si="0"/>
        <v>65679</v>
      </c>
      <c r="H17" s="28">
        <f t="shared" si="0"/>
        <v>27958</v>
      </c>
      <c r="I17" s="28">
        <f t="shared" si="0"/>
        <v>151750</v>
      </c>
      <c r="J17" s="28">
        <f t="shared" si="0"/>
        <v>60308</v>
      </c>
      <c r="K17" s="28">
        <f t="shared" si="0"/>
        <v>97677</v>
      </c>
      <c r="L17" s="28" t="s">
        <v>2</v>
      </c>
      <c r="M17" s="29">
        <f aca="true" t="shared" si="1" ref="M17:T17">M14+M15+M16</f>
        <v>172240</v>
      </c>
      <c r="N17" s="29">
        <f t="shared" si="1"/>
        <v>30715</v>
      </c>
      <c r="O17" s="29">
        <f t="shared" si="1"/>
        <v>37032.22</v>
      </c>
      <c r="P17" s="29">
        <f t="shared" si="1"/>
        <v>39652</v>
      </c>
      <c r="Q17" s="29">
        <f t="shared" si="1"/>
        <v>178951.5</v>
      </c>
      <c r="R17" s="29">
        <f t="shared" si="1"/>
        <v>1126985.4</v>
      </c>
      <c r="S17" s="29">
        <f t="shared" si="1"/>
        <v>6866</v>
      </c>
      <c r="T17" s="29">
        <f t="shared" si="1"/>
        <v>1133851.4</v>
      </c>
      <c r="U17" s="12"/>
    </row>
    <row r="18" spans="1:21" s="20" customFormat="1" ht="12.75">
      <c r="A18" s="9" t="s">
        <v>43</v>
      </c>
      <c r="B18" s="23">
        <f>46592.56+13313.74</f>
        <v>59906.299999999996</v>
      </c>
      <c r="C18" s="23">
        <f>12738.36+25.4</f>
        <v>12763.76</v>
      </c>
      <c r="D18" s="23"/>
      <c r="E18" s="23">
        <v>4889.77</v>
      </c>
      <c r="F18" s="23">
        <f>14421.86+1183.26</f>
        <v>15605.12</v>
      </c>
      <c r="G18" s="23">
        <f>22562.02+334.06</f>
        <v>22896.08</v>
      </c>
      <c r="H18" s="23">
        <f>9571.6+25.3</f>
        <v>9596.9</v>
      </c>
      <c r="I18" s="23">
        <f>62605.56+31533.9</f>
        <v>94139.45999999999</v>
      </c>
      <c r="J18" s="23">
        <f>21123.3+1507.1</f>
        <v>22630.399999999998</v>
      </c>
      <c r="K18" s="23">
        <f>33787.98+3.06</f>
        <v>33791.04</v>
      </c>
      <c r="L18" s="9" t="s">
        <v>43</v>
      </c>
      <c r="M18" s="21">
        <f>59075.28+317.92</f>
        <v>59393.2</v>
      </c>
      <c r="N18" s="21">
        <f>10503.7+12.9</f>
        <v>10516.6</v>
      </c>
      <c r="O18" s="21">
        <v>0</v>
      </c>
      <c r="P18" s="21">
        <f>13561.46+26.16</f>
        <v>13587.619999999999</v>
      </c>
      <c r="Q18" s="21">
        <f>61590.42+1360.86</f>
        <v>62951.28</v>
      </c>
      <c r="R18" s="22">
        <f>Q18+P18+N18+M18+K18+J18+I18+H18+G18+F18+E18+D18+C18+B18</f>
        <v>422667.53</v>
      </c>
      <c r="S18" s="21">
        <f>3672+4150</f>
        <v>7822</v>
      </c>
      <c r="T18" s="22">
        <f>R18+S18</f>
        <v>430489.53</v>
      </c>
      <c r="U18" s="19"/>
    </row>
    <row r="19" spans="1:21" s="20" customFormat="1" ht="12.75">
      <c r="A19" s="9" t="s">
        <v>45</v>
      </c>
      <c r="B19" s="23">
        <f>48391.91+1297.35</f>
        <v>49689.26</v>
      </c>
      <c r="C19" s="23">
        <f>13011.53+347.1+0.06</f>
        <v>13358.69</v>
      </c>
      <c r="D19" s="23">
        <f>15085.38+402.74</f>
        <v>15488.119999999999</v>
      </c>
      <c r="E19" s="23">
        <v>4967.72</v>
      </c>
      <c r="F19" s="23">
        <f>13316.47+356.33</f>
        <v>13672.8</v>
      </c>
      <c r="G19" s="23">
        <f>23043.8+615.2</f>
        <v>23659</v>
      </c>
      <c r="H19" s="23">
        <f>9773.73+261.49</f>
        <v>10035.22</v>
      </c>
      <c r="I19" s="23">
        <f>63952.94+1704.92</f>
        <v>65657.86</v>
      </c>
      <c r="J19" s="23">
        <v>22151.58</v>
      </c>
      <c r="K19" s="23">
        <f>33916.52+907</f>
        <v>34823.52</v>
      </c>
      <c r="L19" s="9" t="s">
        <v>45</v>
      </c>
      <c r="M19" s="21">
        <f>60141.43+1603.41</f>
        <v>61744.840000000004</v>
      </c>
      <c r="N19" s="21">
        <f>10727.69+286.43</f>
        <v>11014.12</v>
      </c>
      <c r="O19" s="21">
        <v>6942.1</v>
      </c>
      <c r="P19" s="21">
        <f>13850.77+338.23</f>
        <v>14189</v>
      </c>
      <c r="Q19" s="21">
        <f>62915.98+1677.26</f>
        <v>64593.240000000005</v>
      </c>
      <c r="R19" s="22">
        <f>B19+C19+D19+E19+F19+G19+H19+I19+J19+K19+M19+N19+O19+P19+Q19</f>
        <v>411987.06999999995</v>
      </c>
      <c r="S19" s="21">
        <v>3672</v>
      </c>
      <c r="T19" s="22">
        <f>R19+S19</f>
        <v>415659.06999999995</v>
      </c>
      <c r="U19" s="19"/>
    </row>
    <row r="20" spans="1:21" s="20" customFormat="1" ht="12.75">
      <c r="A20" s="24" t="s">
        <v>46</v>
      </c>
      <c r="B20" s="25">
        <f>SUM(B18:B19)</f>
        <v>109595.56</v>
      </c>
      <c r="C20" s="25">
        <f>SUM(C18:C19)</f>
        <v>26122.45</v>
      </c>
      <c r="D20" s="25">
        <f>SUM(D18:D19)</f>
        <v>15488.119999999999</v>
      </c>
      <c r="E20" s="25">
        <f>SUM(E18:E19)</f>
        <v>9857.490000000002</v>
      </c>
      <c r="F20" s="25">
        <f aca="true" t="shared" si="2" ref="F20:K20">SUM(F18:F19)</f>
        <v>29277.92</v>
      </c>
      <c r="G20" s="25">
        <f t="shared" si="2"/>
        <v>46555.08</v>
      </c>
      <c r="H20" s="25">
        <f t="shared" si="2"/>
        <v>19632.12</v>
      </c>
      <c r="I20" s="25">
        <f t="shared" si="2"/>
        <v>159797.32</v>
      </c>
      <c r="J20" s="25">
        <f t="shared" si="2"/>
        <v>44781.979999999996</v>
      </c>
      <c r="K20" s="25">
        <f t="shared" si="2"/>
        <v>68614.56</v>
      </c>
      <c r="L20" s="24" t="s">
        <v>46</v>
      </c>
      <c r="M20" s="26">
        <f aca="true" t="shared" si="3" ref="M20:S20">SUM(M18:M19)</f>
        <v>121138.04000000001</v>
      </c>
      <c r="N20" s="26">
        <f t="shared" si="3"/>
        <v>21530.72</v>
      </c>
      <c r="O20" s="26">
        <f t="shared" si="3"/>
        <v>6942.1</v>
      </c>
      <c r="P20" s="26">
        <f t="shared" si="3"/>
        <v>27776.62</v>
      </c>
      <c r="Q20" s="26">
        <f t="shared" si="3"/>
        <v>127544.52</v>
      </c>
      <c r="R20" s="26">
        <f t="shared" si="3"/>
        <v>834654.6</v>
      </c>
      <c r="S20" s="26">
        <f t="shared" si="3"/>
        <v>11494</v>
      </c>
      <c r="T20" s="27">
        <f>T18+T19</f>
        <v>846148.6</v>
      </c>
      <c r="U20" s="19"/>
    </row>
    <row r="21" spans="1:21" ht="12.75">
      <c r="A21" s="18" t="s">
        <v>44</v>
      </c>
      <c r="B21" s="11">
        <f>B17+B20</f>
        <v>232573.06</v>
      </c>
      <c r="C21" s="11">
        <f>C17+C20</f>
        <v>60827.45</v>
      </c>
      <c r="D21" s="11">
        <f aca="true" t="shared" si="4" ref="D21:J21">D17+D20</f>
        <v>58707.8</v>
      </c>
      <c r="E21" s="11">
        <f t="shared" si="4"/>
        <v>37065.990000000005</v>
      </c>
      <c r="F21" s="11">
        <f t="shared" si="4"/>
        <v>66189.92</v>
      </c>
      <c r="G21" s="11">
        <f t="shared" si="4"/>
        <v>112234.08</v>
      </c>
      <c r="H21" s="11">
        <f t="shared" si="4"/>
        <v>47590.119999999995</v>
      </c>
      <c r="I21" s="11">
        <f t="shared" si="4"/>
        <v>311547.32</v>
      </c>
      <c r="J21" s="11">
        <f t="shared" si="4"/>
        <v>105089.98</v>
      </c>
      <c r="K21" s="11">
        <f>K17+K20</f>
        <v>166291.56</v>
      </c>
      <c r="L21" s="11" t="s">
        <v>44</v>
      </c>
      <c r="M21" s="11">
        <f aca="true" t="shared" si="5" ref="M21:T21">M17+M20</f>
        <v>293378.04000000004</v>
      </c>
      <c r="N21" s="11">
        <f t="shared" si="5"/>
        <v>52245.72</v>
      </c>
      <c r="O21" s="11">
        <f t="shared" si="5"/>
        <v>43974.32</v>
      </c>
      <c r="P21" s="11">
        <f t="shared" si="5"/>
        <v>67428.62</v>
      </c>
      <c r="Q21" s="11">
        <f t="shared" si="5"/>
        <v>306496.02</v>
      </c>
      <c r="R21" s="11">
        <f t="shared" si="5"/>
        <v>1961640</v>
      </c>
      <c r="S21" s="17">
        <f t="shared" si="5"/>
        <v>18360</v>
      </c>
      <c r="T21" s="17">
        <f t="shared" si="5"/>
        <v>1980000</v>
      </c>
      <c r="U21" s="12"/>
    </row>
    <row r="22" spans="1:14" ht="12.75">
      <c r="A22" s="10"/>
      <c r="N22" t="s">
        <v>24</v>
      </c>
    </row>
    <row r="26" spans="18:19" ht="12.75">
      <c r="R26" s="13"/>
      <c r="S26" s="13"/>
    </row>
  </sheetData>
  <sheetProtection/>
  <printOptions/>
  <pageMargins left="0.37" right="0.25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2020-05-07T09:53:05Z</cp:lastPrinted>
  <dcterms:created xsi:type="dcterms:W3CDTF">1996-10-14T23:33:28Z</dcterms:created>
  <dcterms:modified xsi:type="dcterms:W3CDTF">2020-07-21T07:03:41Z</dcterms:modified>
  <cp:category/>
  <cp:version/>
  <cp:contentType/>
  <cp:contentStatus/>
</cp:coreProperties>
</file>